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490" windowHeight="9645" tabRatio="391" activeTab="0"/>
  </bookViews>
  <sheets>
    <sheet name="Nyborg" sheetId="1" r:id="rId1"/>
    <sheet name="Ark2" sheetId="2" r:id="rId2"/>
    <sheet name="Ark3" sheetId="3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fullCalcOnLoad="1"/>
</workbook>
</file>

<file path=xl/sharedStrings.xml><?xml version="1.0" encoding="utf-8"?>
<sst xmlns="http://schemas.openxmlformats.org/spreadsheetml/2006/main" count="136" uniqueCount="110">
  <si>
    <t>Pr. år</t>
  </si>
  <si>
    <t>Pr. måned</t>
  </si>
  <si>
    <t>Dato:</t>
  </si>
  <si>
    <t>Reguleringsfaktor: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</si>
  <si>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</si>
  <si>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</si>
  <si>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</si>
  <si>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</si>
  <si>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Løn i alt, bortset fra evt. overtid.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</si>
  <si>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</si>
  <si>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</si>
  <si>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</si>
  <si>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</si>
  <si>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</si>
  <si>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</si>
  <si>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</si>
  <si>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</si>
  <si>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</si>
  <si>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</si>
  <si>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</si>
  <si>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</si>
  <si>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</si>
  <si>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</si>
  <si>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</si>
  <si>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</si>
  <si>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</si>
  <si>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</si>
  <si>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</si>
  <si>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</si>
  <si>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</si>
  <si>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</si>
  <si>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</si>
  <si>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</si>
  <si>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</si>
  <si>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</si>
  <si>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</si>
  <si>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</si>
  <si>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</si>
  <si>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</si>
  <si>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</si>
  <si>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</si>
  <si>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</si>
  <si>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</si>
  <si>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</si>
  <si>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</si>
  <si>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</si>
  <si>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Lokalt aftalt kvalifikationstillæg</t>
  </si>
  <si>
    <t>E</t>
  </si>
  <si>
    <t>** Aunslev skole, Birkhovedskolen, Borgeskovskolen, Skovparkskolen og Vindinge skole</t>
  </si>
  <si>
    <t>F</t>
  </si>
  <si>
    <r>
      <t xml:space="preserve">Beløb </t>
    </r>
    <r>
      <rPr>
        <sz val="8"/>
        <rFont val="Arial"/>
        <family val="2"/>
      </rPr>
      <t>(31.3.00)</t>
    </r>
  </si>
  <si>
    <t>Skriv 4:</t>
  </si>
  <si>
    <t>Vi tager forbehold for fejl i regnearket. Kontakt kredsen eller din TR, hvis der er forskel mellem din løn og denne beregning.</t>
  </si>
  <si>
    <t>Funktionstillæg til tillidsrepræsentanten</t>
  </si>
  <si>
    <r>
      <t xml:space="preserve">Vejledning: </t>
    </r>
    <r>
      <rPr>
        <sz val="10"/>
        <color indexed="16"/>
        <rFont val="Arial"/>
        <family val="2"/>
      </rPr>
      <t xml:space="preserve">Du skal bruge din lønseddel og din opgaveoversigt. Skriv kun i de gule felter - og kun hvor du får tillægget </t>
    </r>
  </si>
  <si>
    <t>Skoleafhængigt funktionstillæg</t>
  </si>
  <si>
    <t>G</t>
  </si>
  <si>
    <t>Kvalifikationsløn for ikke-læreruddannede efter 4, 8 eller 12 år:</t>
  </si>
  <si>
    <t>Kontakt lærerkredsen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</si>
  <si>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rFont val="Arial"/>
        <family val="2"/>
      </rPr>
      <t xml:space="preserve"> Særlig støtte til tosprogede o.a.</t>
    </r>
  </si>
  <si>
    <t xml:space="preserve">11.200 kr. (31.3.00) årligt </t>
  </si>
  <si>
    <t>Tværgående funktionstillæg, IT-, skolebibl.- og tosprogskoordin.</t>
  </si>
  <si>
    <t>Tværgående koordinatorer: IT, Skolebibliotek, Tosprogskoordinator</t>
  </si>
  <si>
    <t>H</t>
  </si>
  <si>
    <t>I</t>
  </si>
  <si>
    <t>J</t>
  </si>
  <si>
    <t>Tillidsrepræsentant, Fællestillidsrepræsentant</t>
  </si>
  <si>
    <t>Pæd. Diplomuddannelse, anvendt cand.pæd. udd.</t>
  </si>
  <si>
    <t>Kvalifikationsløn, Pæd. Diplomuddannelse / Anvendt cand.pæd.</t>
  </si>
  <si>
    <t>Funktionstillæg til arbejdsmiljørepræsentant</t>
  </si>
  <si>
    <t>Arbejdsmiljørepræsentant</t>
  </si>
  <si>
    <t>Undervisningstillæg over årligt 750 t (lærere) 835 (bh.kl.le.). Skriv tallet:</t>
  </si>
  <si>
    <t>Specialundervisning</t>
  </si>
  <si>
    <t>Udfasning af aldersreduktion, Lov 409, OK § 13, OK-ansatte</t>
  </si>
  <si>
    <t>Udfasning af aldersreduktion, Lov 409, OK § 13,tjm.</t>
  </si>
  <si>
    <r>
      <t xml:space="preserve">Lokalt aftalt løn. </t>
    </r>
    <r>
      <rPr>
        <b/>
        <sz val="10"/>
        <color indexed="10"/>
        <rFont val="Arial"/>
        <family val="2"/>
      </rPr>
      <t>Enten</t>
    </r>
    <r>
      <rPr>
        <b/>
        <sz val="10"/>
        <rFont val="Arial"/>
        <family val="2"/>
      </rPr>
      <t xml:space="preserve"> A, B, C, D, E eller F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udfyldes.</t>
    </r>
  </si>
  <si>
    <t xml:space="preserve">9.000 kr. (31.3.00) årligt </t>
  </si>
  <si>
    <t xml:space="preserve">5.000 kr. (31.3.00) årligt </t>
  </si>
  <si>
    <t xml:space="preserve">Evt. funktionstillæg for dig på din skole. </t>
  </si>
  <si>
    <t>Evt. funktionstillæg for dig på din skole.</t>
  </si>
  <si>
    <t>F-tillæg 2014 for lærere, tjenestemænd, 1 løntrin + 5.882 kr.</t>
  </si>
  <si>
    <t>F-tillæg 2014 for bh.kl.le., tjenestemænd, 1 løntrin + 5991 kr.</t>
  </si>
  <si>
    <t>F-tillæg 2014, Gl. Nyborg, lærere tjenestemænd, 2 trin + 2202 kr.</t>
  </si>
  <si>
    <t xml:space="preserve">F-tillæg 2014, Gl. Nyborg,  bh.kl.le., 2 trin </t>
  </si>
  <si>
    <t>F-tillæg 2015 for OK-ans. læ. På personlig ordning</t>
  </si>
  <si>
    <t>F-tillæg 2015 for OK-ans. lærere</t>
  </si>
  <si>
    <t>F-tillæg  2015 for OK-ans- bh.kl.le. På personlig ordning</t>
  </si>
  <si>
    <t>F- tillæg 2015 for OK-ans. Bh.kl.le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</si>
  <si>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lærere </t>
    </r>
  </si>
  <si>
    <t>13.637 kr. (31.3.00) årligt pensionsgivende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</si>
  <si>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lærere på pers. ordn.</t>
    </r>
  </si>
  <si>
    <t>12.282kr. (31.3.00) årligt pensionsgivende</t>
  </si>
  <si>
    <t>1 løntrin + 5.882 kr. årligt (31.3.00)</t>
  </si>
  <si>
    <t>1 løntrin + 5.991 kr. årligt (31.3.00)</t>
  </si>
  <si>
    <t>2 løntrin + 2.202 kr. årligt (31.3.00)</t>
  </si>
  <si>
    <t xml:space="preserve">2 løntrin 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</si>
  <si>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lærere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</si>
  <si>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bh.kl.le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</si>
  <si>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tjenestemandsansatte lærere  i Gl. Nyborg*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</si>
  <si>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bh.kl.le i Gl. Nyborg*</t>
    </r>
  </si>
  <si>
    <t>* For tjenestemandsansatte lærere og børnehaveklasseledere ansat i gl. Nyborg Kommune** før 31.7.2007: 2 løntrin + 2.202 kr. årligt.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</si>
  <si>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bh.kl.le.</t>
    </r>
  </si>
  <si>
    <t>11.246 kr. (31.3.00) årligt pensionsgivende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</si>
  <si>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bh.kl.le. på pers. ordn.</t>
    </r>
  </si>
  <si>
    <t>9.891kr. (31.3.00) årligt pensionsgivende</t>
  </si>
  <si>
    <t>tjm tr. 36</t>
  </si>
  <si>
    <t>Nye centrale tillæg fra 1.8.2014 - ophørt 1.4.2016</t>
  </si>
  <si>
    <t>Satser 1. oktober.2020             Grundsats - gruppe 1</t>
  </si>
  <si>
    <t>1.10.2020</t>
  </si>
  <si>
    <t>Lønberegningsskema for lærere og børnehaveklasseledere              Nyborg Kommune                                              1.10.20 - 30.03.21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</si>
</sst>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000"/>
    <numFmt numFmtId="187" formatCode="mmm/yyyy"/>
    <numFmt numFmtId="188" formatCode="#,##0.000000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_(* #,##0.0_);_(* \(#,##0.0\);_(* &quot;-&quot;??_);_(@_)"/>
    <numFmt numFmtId="194" formatCode="_(* #,##0_);_(* \(#,##0\);_(* &quot;-&quot;??_);_(@_)"/>
    <numFmt numFmtId="195" formatCode="0.0000"/>
    <numFmt numFmtId="196" formatCode="0.000"/>
    <numFmt numFmtId="197" formatCode="0.0000%"/>
    <numFmt numFmtId="198" formatCode="#,##0.00_ ;\-#,##0.00\ 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99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99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00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24" borderId="3" applyNumberFormat="0" applyAlignment="0" applyProtection="0"/>
    <xf numFmtId="0" fontId="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13" fillId="33" borderId="10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4" fontId="11" fillId="35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3" fillId="0" borderId="0" xfId="45" applyFont="1" applyAlignment="1">
      <alignment/>
    </xf>
    <xf numFmtId="185" fontId="4" fillId="0" borderId="0" xfId="45" applyFont="1" applyAlignment="1">
      <alignment/>
    </xf>
    <xf numFmtId="0" fontId="5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 vertical="center"/>
    </xf>
    <xf numFmtId="3" fontId="0" fillId="35" borderId="21" xfId="0" applyNumberFormat="1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3" fontId="0" fillId="35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37" borderId="29" xfId="0" applyFont="1" applyFill="1" applyBorder="1" applyAlignment="1">
      <alignment horizontal="right"/>
    </xf>
    <xf numFmtId="3" fontId="5" fillId="35" borderId="30" xfId="0" applyNumberFormat="1" applyFont="1" applyFill="1" applyBorder="1" applyAlignment="1">
      <alignment horizontal="left" vertical="center"/>
    </xf>
    <xf numFmtId="0" fontId="4" fillId="36" borderId="31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194" fontId="9" fillId="0" borderId="32" xfId="45" applyNumberFormat="1" applyFont="1" applyBorder="1" applyAlignment="1">
      <alignment/>
    </xf>
    <xf numFmtId="194" fontId="0" fillId="35" borderId="11" xfId="45" applyNumberFormat="1" applyFont="1" applyFill="1" applyBorder="1" applyAlignment="1">
      <alignment horizontal="center" vertical="center"/>
    </xf>
    <xf numFmtId="194" fontId="9" fillId="0" borderId="33" xfId="45" applyNumberFormat="1" applyFont="1" applyBorder="1" applyAlignment="1">
      <alignment/>
    </xf>
    <xf numFmtId="194" fontId="9" fillId="0" borderId="34" xfId="45" applyNumberFormat="1" applyFont="1" applyBorder="1" applyAlignment="1">
      <alignment/>
    </xf>
    <xf numFmtId="194" fontId="14" fillId="35" borderId="35" xfId="45" applyNumberFormat="1" applyFont="1" applyFill="1" applyBorder="1" applyAlignment="1">
      <alignment/>
    </xf>
    <xf numFmtId="3" fontId="0" fillId="37" borderId="3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6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3" fontId="0" fillId="0" borderId="43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1" fillId="0" borderId="14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Fill="1" applyBorder="1" applyAlignment="1">
      <alignment/>
    </xf>
    <xf numFmtId="3" fontId="0" fillId="37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94" fontId="9" fillId="0" borderId="0" xfId="45" applyNumberFormat="1" applyFont="1" applyFill="1" applyBorder="1" applyAlignment="1">
      <alignment/>
    </xf>
    <xf numFmtId="185" fontId="4" fillId="0" borderId="0" xfId="45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185" fontId="4" fillId="0" borderId="0" xfId="45" applyFont="1" applyBorder="1" applyAlignment="1">
      <alignment/>
    </xf>
    <xf numFmtId="0" fontId="5" fillId="35" borderId="17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center"/>
    </xf>
    <xf numFmtId="3" fontId="0" fillId="35" borderId="45" xfId="0" applyNumberFormat="1" applyFont="1" applyFill="1" applyBorder="1" applyAlignment="1">
      <alignment/>
    </xf>
    <xf numFmtId="185" fontId="0" fillId="0" borderId="0" xfId="45" applyFont="1" applyAlignment="1">
      <alignment/>
    </xf>
    <xf numFmtId="0" fontId="4" fillId="35" borderId="18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9" fillId="35" borderId="20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/>
    </xf>
    <xf numFmtId="194" fontId="9" fillId="0" borderId="46" xfId="45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37" borderId="47" xfId="0" applyFont="1" applyFill="1" applyBorder="1" applyAlignment="1">
      <alignment horizontal="center"/>
    </xf>
    <xf numFmtId="4" fontId="0" fillId="0" borderId="44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9" fillId="35" borderId="36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/>
    </xf>
    <xf numFmtId="39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85" fontId="10" fillId="0" borderId="0" xfId="45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4" fontId="0" fillId="0" borderId="32" xfId="0" applyNumberFormat="1" applyFont="1" applyBorder="1" applyAlignment="1">
      <alignment horizontal="right"/>
    </xf>
    <xf numFmtId="194" fontId="0" fillId="0" borderId="13" xfId="45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45" applyFont="1" applyAlignment="1">
      <alignment/>
    </xf>
    <xf numFmtId="0" fontId="0" fillId="0" borderId="4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7" borderId="10" xfId="0" applyFont="1" applyFill="1" applyBorder="1" applyAlignment="1">
      <alignment horizontal="center"/>
    </xf>
    <xf numFmtId="4" fontId="0" fillId="0" borderId="36" xfId="0" applyNumberFormat="1" applyFont="1" applyBorder="1" applyAlignment="1">
      <alignment horizontal="right"/>
    </xf>
    <xf numFmtId="194" fontId="0" fillId="0" borderId="49" xfId="45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194" fontId="0" fillId="0" borderId="32" xfId="45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49" xfId="0" applyNumberFormat="1" applyFont="1" applyBorder="1" applyAlignment="1">
      <alignment horizontal="right"/>
    </xf>
    <xf numFmtId="194" fontId="0" fillId="0" borderId="36" xfId="45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194" fontId="0" fillId="0" borderId="33" xfId="45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37" borderId="14" xfId="0" applyFont="1" applyFill="1" applyBorder="1" applyAlignment="1">
      <alignment horizontal="center"/>
    </xf>
    <xf numFmtId="185" fontId="0" fillId="0" borderId="0" xfId="45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9" fillId="35" borderId="50" xfId="0" applyFont="1" applyFill="1" applyBorder="1" applyAlignment="1">
      <alignment horizontal="center"/>
    </xf>
    <xf numFmtId="194" fontId="0" fillId="0" borderId="33" xfId="45" applyNumberFormat="1" applyFont="1" applyBorder="1" applyAlignment="1">
      <alignment/>
    </xf>
    <xf numFmtId="0" fontId="0" fillId="0" borderId="42" xfId="0" applyFont="1" applyFill="1" applyBorder="1" applyAlignment="1">
      <alignment horizontal="right"/>
    </xf>
    <xf numFmtId="0" fontId="0" fillId="35" borderId="5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9" fillId="36" borderId="3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center"/>
    </xf>
    <xf numFmtId="0" fontId="0" fillId="36" borderId="51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94" fontId="9" fillId="0" borderId="13" xfId="17" applyNumberFormat="1" applyFont="1" applyBorder="1" applyAlignment="1">
      <alignment/>
    </xf>
    <xf numFmtId="0" fontId="5" fillId="36" borderId="17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0" fillId="36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18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38" borderId="10" xfId="0" applyNumberFormat="1" applyFill="1" applyBorder="1" applyAlignment="1">
      <alignment/>
    </xf>
    <xf numFmtId="39" fontId="0" fillId="38" borderId="10" xfId="0" applyNumberFormat="1" applyFill="1" applyBorder="1" applyAlignment="1">
      <alignment/>
    </xf>
    <xf numFmtId="0" fontId="0" fillId="0" borderId="48" xfId="0" applyFont="1" applyBorder="1" applyAlignment="1">
      <alignment horizontal="center"/>
    </xf>
    <xf numFmtId="4" fontId="0" fillId="0" borderId="36" xfId="0" applyNumberFormat="1" applyFont="1" applyBorder="1" applyAlignment="1">
      <alignment horizontal="right"/>
    </xf>
    <xf numFmtId="194" fontId="9" fillId="0" borderId="49" xfId="17" applyNumberFormat="1" applyFont="1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right"/>
    </xf>
    <xf numFmtId="194" fontId="9" fillId="0" borderId="50" xfId="17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0" borderId="27" xfId="58" applyFont="1" applyBorder="1" applyAlignment="1">
      <alignment horizontal="center"/>
      <protection/>
    </xf>
    <xf numFmtId="0" fontId="0" fillId="0" borderId="42" xfId="58" applyFont="1" applyBorder="1">
      <alignment/>
      <protection/>
    </xf>
    <xf numFmtId="0" fontId="0" fillId="0" borderId="42" xfId="58" applyFont="1" applyFill="1" applyBorder="1">
      <alignment/>
      <protection/>
    </xf>
    <xf numFmtId="4" fontId="0" fillId="0" borderId="42" xfId="58" applyNumberFormat="1" applyFont="1" applyBorder="1" applyAlignment="1">
      <alignment horizontal="right"/>
      <protection/>
    </xf>
    <xf numFmtId="4" fontId="0" fillId="0" borderId="43" xfId="58" applyNumberFormat="1" applyFont="1" applyBorder="1">
      <alignment/>
      <protection/>
    </xf>
    <xf numFmtId="194" fontId="9" fillId="0" borderId="42" xfId="19" applyNumberFormat="1" applyFont="1" applyBorder="1" applyAlignment="1">
      <alignment/>
    </xf>
    <xf numFmtId="0" fontId="54" fillId="0" borderId="42" xfId="58" applyFont="1" applyFill="1" applyBorder="1" applyAlignment="1">
      <alignment horizontal="left"/>
      <protection/>
    </xf>
    <xf numFmtId="194" fontId="0" fillId="35" borderId="20" xfId="45" applyNumberFormat="1" applyFont="1" applyFill="1" applyBorder="1" applyAlignment="1">
      <alignment horizontal="center" vertical="center"/>
    </xf>
    <xf numFmtId="4" fontId="0" fillId="0" borderId="50" xfId="0" applyNumberFormat="1" applyFont="1" applyBorder="1" applyAlignment="1">
      <alignment horizontal="right"/>
    </xf>
    <xf numFmtId="4" fontId="0" fillId="0" borderId="53" xfId="0" applyNumberFormat="1" applyFont="1" applyBorder="1" applyAlignment="1">
      <alignment/>
    </xf>
    <xf numFmtId="0" fontId="5" fillId="0" borderId="27" xfId="0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37" borderId="44" xfId="0" applyFont="1" applyFill="1" applyBorder="1" applyAlignment="1">
      <alignment horizontal="center"/>
    </xf>
    <xf numFmtId="4" fontId="0" fillId="39" borderId="10" xfId="0" applyNumberFormat="1" applyFill="1" applyBorder="1" applyAlignment="1">
      <alignment/>
    </xf>
    <xf numFmtId="188" fontId="55" fillId="40" borderId="10" xfId="0" applyNumberFormat="1" applyFont="1" applyFill="1" applyBorder="1" applyAlignment="1">
      <alignment horizontal="center"/>
    </xf>
    <xf numFmtId="4" fontId="0" fillId="0" borderId="47" xfId="0" applyNumberFormat="1" applyFont="1" applyBorder="1" applyAlignment="1">
      <alignment horizontal="right"/>
    </xf>
    <xf numFmtId="194" fontId="0" fillId="0" borderId="34" xfId="45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37" borderId="54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39" fontId="56" fillId="39" borderId="10" xfId="0" applyNumberFormat="1" applyFont="1" applyFill="1" applyBorder="1" applyAlignment="1">
      <alignment/>
    </xf>
    <xf numFmtId="14" fontId="0" fillId="40" borderId="10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right" vertical="center" wrapText="1"/>
    </xf>
    <xf numFmtId="0" fontId="17" fillId="0" borderId="38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85" fontId="17" fillId="0" borderId="0" xfId="45" applyFont="1" applyFill="1" applyAlignment="1">
      <alignment/>
    </xf>
    <xf numFmtId="0" fontId="10" fillId="0" borderId="0" xfId="0" applyFont="1" applyBorder="1" applyAlignment="1">
      <alignment/>
    </xf>
    <xf numFmtId="0" fontId="13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37" borderId="14" xfId="0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194" fontId="9" fillId="0" borderId="36" xfId="45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5" fillId="0" borderId="48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4" fontId="0" fillId="37" borderId="55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194" fontId="9" fillId="0" borderId="36" xfId="17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0" fontId="5" fillId="36" borderId="57" xfId="0" applyFont="1" applyFill="1" applyBorder="1" applyAlignment="1">
      <alignment horizontal="center"/>
    </xf>
    <xf numFmtId="0" fontId="0" fillId="36" borderId="58" xfId="0" applyFont="1" applyFill="1" applyBorder="1" applyAlignment="1">
      <alignment/>
    </xf>
    <xf numFmtId="0" fontId="0" fillId="36" borderId="59" xfId="0" applyFont="1" applyFill="1" applyBorder="1" applyAlignment="1">
      <alignment/>
    </xf>
    <xf numFmtId="0" fontId="9" fillId="36" borderId="60" xfId="0" applyFont="1" applyFill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right"/>
    </xf>
    <xf numFmtId="194" fontId="9" fillId="0" borderId="62" xfId="17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0" fillId="0" borderId="0" xfId="0" applyFont="1" applyAlignment="1">
      <alignment/>
    </xf>
    <xf numFmtId="198" fontId="0" fillId="0" borderId="15" xfId="0" applyNumberFormat="1" applyBorder="1" applyAlignment="1">
      <alignment/>
    </xf>
    <xf numFmtId="4" fontId="0" fillId="42" borderId="10" xfId="0" applyNumberFormat="1" applyFill="1" applyBorder="1" applyAlignment="1">
      <alignment/>
    </xf>
    <xf numFmtId="4" fontId="0" fillId="42" borderId="10" xfId="0" applyNumberFormat="1" applyFill="1" applyBorder="1" applyAlignment="1">
      <alignment vertical="center"/>
    </xf>
    <xf numFmtId="198" fontId="0" fillId="39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98" fontId="0" fillId="0" borderId="0" xfId="0" applyNumberFormat="1" applyAlignment="1">
      <alignment/>
    </xf>
    <xf numFmtId="39" fontId="18" fillId="0" borderId="0" xfId="0" applyNumberFormat="1" applyFont="1" applyBorder="1" applyAlignment="1" applyProtection="1">
      <alignment/>
      <protection/>
    </xf>
    <xf numFmtId="39" fontId="18" fillId="0" borderId="12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9" fillId="43" borderId="34" xfId="0" applyFont="1" applyFill="1" applyBorder="1" applyAlignment="1">
      <alignment horizontal="center" vertical="center" wrapText="1"/>
    </xf>
    <xf numFmtId="0" fontId="9" fillId="43" borderId="42" xfId="0" applyFont="1" applyFill="1" applyBorder="1" applyAlignment="1">
      <alignment horizontal="center" vertical="center" wrapText="1"/>
    </xf>
    <xf numFmtId="0" fontId="9" fillId="43" borderId="44" xfId="0" applyFont="1" applyFill="1" applyBorder="1" applyAlignment="1">
      <alignment horizontal="center" vertical="center" wrapText="1"/>
    </xf>
    <xf numFmtId="0" fontId="7" fillId="44" borderId="55" xfId="0" applyFont="1" applyFill="1" applyBorder="1" applyAlignment="1">
      <alignment horizontal="center" vertical="center" wrapText="1"/>
    </xf>
    <xf numFmtId="0" fontId="7" fillId="44" borderId="51" xfId="0" applyFont="1" applyFill="1" applyBorder="1" applyAlignment="1">
      <alignment horizontal="center" vertical="center" wrapText="1"/>
    </xf>
    <xf numFmtId="0" fontId="7" fillId="44" borderId="14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17" fillId="0" borderId="37" xfId="0" applyFont="1" applyFill="1" applyBorder="1" applyAlignment="1">
      <alignment horizontal="right" vertical="center" wrapText="1"/>
    </xf>
    <xf numFmtId="0" fontId="17" fillId="0" borderId="38" xfId="0" applyFont="1" applyFill="1" applyBorder="1" applyAlignment="1">
      <alignment horizontal="right" vertical="center" wrapText="1"/>
    </xf>
    <xf numFmtId="0" fontId="17" fillId="37" borderId="39" xfId="0" applyFont="1" applyFill="1" applyBorder="1" applyAlignment="1">
      <alignment horizontal="center" vertical="center" wrapText="1"/>
    </xf>
    <xf numFmtId="0" fontId="17" fillId="37" borderId="39" xfId="0" applyFont="1" applyFill="1" applyBorder="1" applyAlignment="1">
      <alignment horizontal="left"/>
    </xf>
    <xf numFmtId="0" fontId="17" fillId="37" borderId="64" xfId="0" applyFont="1" applyFill="1" applyBorder="1" applyAlignment="1">
      <alignment horizontal="left"/>
    </xf>
    <xf numFmtId="0" fontId="8" fillId="40" borderId="55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0" borderId="55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8">
    <cellStyle name="Normal" xfId="0"/>
    <cellStyle name="1000-sep (2 dec) 2" xfId="15"/>
    <cellStyle name="1000-sep (2 dec) 3" xfId="16"/>
    <cellStyle name="1000-sep (2 dec) 4" xfId="17"/>
    <cellStyle name="1000-sep (2 dec) 5" xfId="18"/>
    <cellStyle name="1000-sep (2 dec) 6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" xfId="39"/>
    <cellStyle name="Beregning" xfId="40"/>
    <cellStyle name="Followed Hyperlink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Hyperlink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Normal 3" xfId="57"/>
    <cellStyle name="Normal 4" xfId="58"/>
    <cellStyle name="Normal 5" xfId="59"/>
    <cellStyle name="Output" xfId="60"/>
    <cellStyle name="Overskrift 1" xfId="61"/>
    <cellStyle name="Overskrift 2" xfId="62"/>
    <cellStyle name="Overskrift 3" xfId="63"/>
    <cellStyle name="Overskrift 4" xfId="64"/>
    <cellStyle name="Percent" xfId="65"/>
    <cellStyle name="Sammenkædet celle" xfId="66"/>
    <cellStyle name="Titel" xfId="67"/>
    <cellStyle name="Total" xfId="68"/>
    <cellStyle name="Ugyldig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476250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476250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25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26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28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29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0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2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3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276225</xdr:colOff>
      <xdr:row>2</xdr:row>
      <xdr:rowOff>85725</xdr:rowOff>
    </xdr:to>
    <xdr:pic>
      <xdr:nvPicPr>
        <xdr:cNvPr id="35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36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37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180975</xdr:rowOff>
    </xdr:to>
    <xdr:pic>
      <xdr:nvPicPr>
        <xdr:cNvPr id="38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0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1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2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3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4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180975</xdr:rowOff>
    </xdr:to>
    <xdr:pic>
      <xdr:nvPicPr>
        <xdr:cNvPr id="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276225</xdr:colOff>
      <xdr:row>2</xdr:row>
      <xdr:rowOff>85725</xdr:rowOff>
    </xdr:to>
    <xdr:pic>
      <xdr:nvPicPr>
        <xdr:cNvPr id="46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619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47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48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0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1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2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4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5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2</xdr:row>
      <xdr:rowOff>85725</xdr:rowOff>
    </xdr:to>
    <xdr:pic>
      <xdr:nvPicPr>
        <xdr:cNvPr id="57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58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59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60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2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3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4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5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6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2</xdr:row>
      <xdr:rowOff>85725</xdr:rowOff>
    </xdr:to>
    <xdr:pic>
      <xdr:nvPicPr>
        <xdr:cNvPr id="68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P65"/>
  <sheetViews>
    <sheetView showZeros="0" tabSelected="1" showOutlineSymbols="0" workbookViewId="0" topLeftCell="A1">
      <selection activeCell="P18" sqref="P18"/>
    </sheetView>
  </sheetViews>
  <sheetFormatPr defaultColWidth="9.140625" defaultRowHeight="12.75"/>
  <cols>
    <col min="1" max="1" width="2.57421875" style="4" customWidth="1"/>
    <col min="2" max="2" width="12.00390625" style="2" customWidth="1"/>
    <col min="3" max="3" width="5.57421875" style="2" customWidth="1"/>
    <col min="4" max="4" width="14.7109375" style="2" customWidth="1"/>
    <col min="5" max="6" width="8.140625" style="2" customWidth="1"/>
    <col min="7" max="7" width="3.00390625" style="2" customWidth="1"/>
    <col min="8" max="8" width="12.28125" style="2" customWidth="1"/>
    <col min="9" max="9" width="9.421875" style="2" customWidth="1"/>
    <col min="10" max="10" width="8.8515625" style="3" customWidth="1"/>
    <col min="11" max="11" width="11.140625" style="3" customWidth="1"/>
    <col min="12" max="13" width="9.140625" style="2" customWidth="1"/>
    <col min="14" max="14" width="12.8515625" style="28" bestFit="1" customWidth="1"/>
    <col min="15" max="16384" width="9.140625" style="2" customWidth="1"/>
  </cols>
  <sheetData>
    <row r="1" spans="1:14" s="1" customFormat="1" ht="45.75" customHeight="1" thickBot="1">
      <c r="A1" s="268" t="s">
        <v>109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N1" s="27"/>
    </row>
    <row r="2" spans="1:14" s="218" customFormat="1" ht="18.75" customHeight="1" thickBot="1">
      <c r="A2" s="274" t="s">
        <v>9</v>
      </c>
      <c r="B2" s="275"/>
      <c r="C2" s="276"/>
      <c r="D2" s="276"/>
      <c r="E2" s="276"/>
      <c r="F2" s="276"/>
      <c r="G2" s="276"/>
      <c r="H2" s="217"/>
      <c r="I2" s="216" t="s">
        <v>2</v>
      </c>
      <c r="J2" s="277"/>
      <c r="K2" s="278"/>
      <c r="N2" s="219"/>
    </row>
    <row r="3" spans="1:14" s="26" customFormat="1" ht="13.5" thickBot="1">
      <c r="A3" s="271" t="s">
        <v>54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N3" s="102"/>
    </row>
    <row r="4" spans="1:11" ht="15.75" thickBot="1">
      <c r="A4" s="67" t="s">
        <v>37</v>
      </c>
      <c r="B4" s="68"/>
      <c r="C4" s="68"/>
      <c r="D4" s="68"/>
      <c r="E4" s="68"/>
      <c r="F4" s="68"/>
      <c r="G4" s="69"/>
      <c r="H4" s="70"/>
      <c r="I4" s="70"/>
      <c r="J4" s="71">
        <v>100</v>
      </c>
      <c r="K4" s="72"/>
    </row>
    <row r="5" spans="1:11" ht="9" customHeight="1" thickBot="1">
      <c r="A5" s="66"/>
      <c r="B5" s="66"/>
      <c r="C5" s="66"/>
      <c r="D5" s="66"/>
      <c r="E5" s="66"/>
      <c r="F5" s="66"/>
      <c r="H5" s="11"/>
      <c r="I5" s="11"/>
      <c r="J5" s="11"/>
      <c r="K5" s="56"/>
    </row>
    <row r="6" spans="1:11" ht="15.75" thickBot="1">
      <c r="A6" s="98" t="s">
        <v>23</v>
      </c>
      <c r="B6" s="99"/>
      <c r="C6" s="99"/>
      <c r="D6" s="99"/>
      <c r="E6" s="99"/>
      <c r="F6" s="99"/>
      <c r="G6" s="100"/>
      <c r="H6" s="100"/>
      <c r="I6" s="100"/>
      <c r="J6" s="100"/>
      <c r="K6" s="101"/>
    </row>
    <row r="7" spans="1:11" ht="15.75" thickTop="1">
      <c r="A7" s="73" t="s">
        <v>24</v>
      </c>
      <c r="B7" s="44"/>
      <c r="C7" s="44"/>
      <c r="D7" s="44"/>
      <c r="E7" s="44"/>
      <c r="F7" s="44"/>
      <c r="G7" s="11"/>
      <c r="H7" s="11"/>
      <c r="I7" s="11"/>
      <c r="J7" s="11"/>
      <c r="K7" s="74"/>
    </row>
    <row r="8" spans="1:14" ht="15">
      <c r="A8" s="73" t="s">
        <v>25</v>
      </c>
      <c r="B8" s="44"/>
      <c r="C8" s="44"/>
      <c r="D8" s="44"/>
      <c r="E8" s="44"/>
      <c r="F8" s="44"/>
      <c r="G8" s="11"/>
      <c r="H8" s="11"/>
      <c r="I8" s="11"/>
      <c r="J8" s="11"/>
      <c r="K8" s="74"/>
      <c r="N8" s="97"/>
    </row>
    <row r="9" spans="1:11" ht="15">
      <c r="A9" s="73" t="s">
        <v>26</v>
      </c>
      <c r="B9" s="44"/>
      <c r="C9" s="44"/>
      <c r="D9" s="44"/>
      <c r="E9" s="44"/>
      <c r="F9" s="44"/>
      <c r="G9" s="11"/>
      <c r="H9" s="11"/>
      <c r="I9" s="11"/>
      <c r="J9" s="11"/>
      <c r="K9" s="74"/>
    </row>
    <row r="10" spans="1:11" ht="15.75" thickBot="1">
      <c r="A10" s="75" t="s">
        <v>27</v>
      </c>
      <c r="B10" s="76"/>
      <c r="C10" s="76"/>
      <c r="D10" s="76"/>
      <c r="E10" s="76"/>
      <c r="F10" s="76"/>
      <c r="G10" s="77"/>
      <c r="H10" s="77"/>
      <c r="I10" s="77"/>
      <c r="J10" s="77"/>
      <c r="K10" s="78"/>
    </row>
    <row r="11" spans="1:11" ht="9" customHeight="1" thickBot="1">
      <c r="A11" s="57"/>
      <c r="B11" s="44"/>
      <c r="C11" s="44"/>
      <c r="D11" s="44"/>
      <c r="E11" s="44"/>
      <c r="F11" s="44"/>
      <c r="G11" s="11"/>
      <c r="H11" s="11"/>
      <c r="I11" s="11"/>
      <c r="J11" s="11"/>
      <c r="K11" s="56"/>
    </row>
    <row r="12" spans="1:11" ht="15.75" thickBot="1">
      <c r="A12" s="29" t="s">
        <v>32</v>
      </c>
      <c r="B12" s="30"/>
      <c r="C12" s="30"/>
      <c r="D12" s="30"/>
      <c r="E12" s="31"/>
      <c r="F12" s="30"/>
      <c r="G12" s="32"/>
      <c r="H12" s="33"/>
      <c r="I12" s="63"/>
      <c r="J12" s="34" t="s">
        <v>0</v>
      </c>
      <c r="K12" s="35" t="s">
        <v>1</v>
      </c>
    </row>
    <row r="13" spans="1:11" ht="15.75" thickTop="1">
      <c r="A13" s="94" t="s">
        <v>28</v>
      </c>
      <c r="B13" s="255" t="s">
        <v>34</v>
      </c>
      <c r="C13" s="255"/>
      <c r="D13" s="255"/>
      <c r="E13" s="255"/>
      <c r="F13" s="58"/>
      <c r="G13" s="58"/>
      <c r="H13" s="59" t="s">
        <v>33</v>
      </c>
      <c r="I13" s="55"/>
      <c r="J13" s="50">
        <f>+K13*12</f>
        <v>0</v>
      </c>
      <c r="K13" s="36">
        <f>(IF(I13=1,Ark3!H8,IF(I13=2,Ark3!H12,IF(I13=3,Ark3!H16,IF(I13=4,Ark3!H17,)))))*J4/100</f>
        <v>0</v>
      </c>
    </row>
    <row r="14" spans="1:11" ht="15">
      <c r="A14" s="94" t="s">
        <v>29</v>
      </c>
      <c r="B14" s="60" t="s">
        <v>35</v>
      </c>
      <c r="C14" s="60"/>
      <c r="D14" s="60"/>
      <c r="E14" s="60"/>
      <c r="F14" s="64"/>
      <c r="G14" s="62"/>
      <c r="H14" s="59" t="s">
        <v>51</v>
      </c>
      <c r="I14" s="90"/>
      <c r="J14" s="52">
        <f>+K14*12</f>
        <v>0</v>
      </c>
      <c r="K14" s="38">
        <f>(IF(I14=4,Ark3!H20))*J4/100</f>
        <v>0</v>
      </c>
    </row>
    <row r="15" spans="1:11" ht="15">
      <c r="A15" s="94" t="s">
        <v>30</v>
      </c>
      <c r="B15" s="255" t="s">
        <v>36</v>
      </c>
      <c r="C15" s="255"/>
      <c r="D15" s="255"/>
      <c r="E15" s="255"/>
      <c r="F15" s="61"/>
      <c r="G15" s="61"/>
      <c r="H15" s="59" t="s">
        <v>33</v>
      </c>
      <c r="I15" s="90"/>
      <c r="J15" s="52">
        <f>+K15*12</f>
        <v>0</v>
      </c>
      <c r="K15" s="38">
        <f>(IF(I15=1,Ark3!E5,IF(I15=2,Ark3!E8,IF(I15=3,Ark3!E10,IF(I15=4,Ark3!E14)))))*J4/100</f>
        <v>0</v>
      </c>
    </row>
    <row r="16" spans="1:11" ht="15">
      <c r="A16" s="94" t="s">
        <v>31</v>
      </c>
      <c r="B16" s="259" t="s">
        <v>7</v>
      </c>
      <c r="C16" s="259"/>
      <c r="D16" s="259"/>
      <c r="E16" s="259"/>
      <c r="F16" s="65"/>
      <c r="G16" s="65"/>
      <c r="H16" s="59" t="s">
        <v>51</v>
      </c>
      <c r="I16" s="90"/>
      <c r="J16" s="52">
        <f>+K16*12</f>
        <v>0</v>
      </c>
      <c r="K16" s="38">
        <f>(IF(I16=4,Ark3!E15))*J4/100</f>
        <v>0</v>
      </c>
    </row>
    <row r="17" spans="1:11" ht="18.75" customHeight="1" thickBot="1">
      <c r="A17" s="46" t="s">
        <v>21</v>
      </c>
      <c r="B17" s="47"/>
      <c r="C17" s="48"/>
      <c r="D17" s="48"/>
      <c r="E17" s="48"/>
      <c r="F17" s="48"/>
      <c r="G17" s="48"/>
      <c r="H17" s="49" t="s">
        <v>17</v>
      </c>
      <c r="I17" s="16" t="s">
        <v>14</v>
      </c>
      <c r="J17" s="51" t="s">
        <v>0</v>
      </c>
      <c r="K17" s="40" t="s">
        <v>1</v>
      </c>
    </row>
    <row r="18" spans="1:11" ht="15.75" thickTop="1">
      <c r="A18" s="37"/>
      <c r="B18" s="220" t="s">
        <v>71</v>
      </c>
      <c r="C18" s="13"/>
      <c r="D18" s="13"/>
      <c r="E18" s="13"/>
      <c r="F18" s="14"/>
      <c r="G18" s="22"/>
      <c r="H18" s="45"/>
      <c r="I18" s="20">
        <f>+Ark2!C6</f>
        <v>128.56599</v>
      </c>
      <c r="J18" s="50">
        <f aca="true" t="shared" si="0" ref="J18:J23">+I18*H18</f>
        <v>0</v>
      </c>
      <c r="K18" s="36">
        <f aca="true" t="shared" si="1" ref="K18:K24">+J18/12</f>
        <v>0</v>
      </c>
    </row>
    <row r="19" spans="1:11" ht="15">
      <c r="A19" s="37"/>
      <c r="B19" s="13" t="s">
        <v>72</v>
      </c>
      <c r="C19" s="13"/>
      <c r="D19" s="13"/>
      <c r="E19" s="13"/>
      <c r="F19" s="14"/>
      <c r="G19" s="22"/>
      <c r="H19" s="45"/>
      <c r="I19" s="20">
        <f>+Ark2!C9</f>
        <v>46.32661173</v>
      </c>
      <c r="J19" s="50">
        <f t="shared" si="0"/>
        <v>0</v>
      </c>
      <c r="K19" s="36">
        <f t="shared" si="1"/>
        <v>0</v>
      </c>
    </row>
    <row r="20" spans="1:11" ht="15">
      <c r="A20" s="37"/>
      <c r="B20" s="13" t="s">
        <v>18</v>
      </c>
      <c r="C20" s="13"/>
      <c r="D20" s="13"/>
      <c r="E20" s="13"/>
      <c r="F20" s="14"/>
      <c r="G20" s="22"/>
      <c r="H20" s="24"/>
      <c r="I20" s="20">
        <f>+Ark2!C10</f>
        <v>21.427665</v>
      </c>
      <c r="J20" s="50">
        <f t="shared" si="0"/>
        <v>0</v>
      </c>
      <c r="K20" s="36">
        <f t="shared" si="1"/>
        <v>0</v>
      </c>
    </row>
    <row r="21" spans="1:11" ht="15">
      <c r="A21" s="37"/>
      <c r="B21" s="13" t="s">
        <v>12</v>
      </c>
      <c r="C21" s="13"/>
      <c r="D21" s="13"/>
      <c r="E21" s="13"/>
      <c r="F21" s="14"/>
      <c r="G21" s="22"/>
      <c r="H21" s="24"/>
      <c r="I21" s="20">
        <f>+Ark2!C8</f>
        <v>36.91272424</v>
      </c>
      <c r="J21" s="50">
        <f t="shared" si="0"/>
        <v>0</v>
      </c>
      <c r="K21" s="36">
        <f t="shared" si="1"/>
        <v>0</v>
      </c>
    </row>
    <row r="22" spans="1:11" ht="15">
      <c r="A22" s="37"/>
      <c r="B22" s="13" t="s">
        <v>11</v>
      </c>
      <c r="C22" s="13"/>
      <c r="D22" s="13"/>
      <c r="E22" s="13"/>
      <c r="F22" s="14"/>
      <c r="G22" s="22"/>
      <c r="H22" s="23"/>
      <c r="I22" s="20">
        <f>+Ark2!C8</f>
        <v>36.91272424</v>
      </c>
      <c r="J22" s="50">
        <f t="shared" si="0"/>
        <v>0</v>
      </c>
      <c r="K22" s="36">
        <f t="shared" si="1"/>
        <v>0</v>
      </c>
    </row>
    <row r="23" spans="1:11" ht="15">
      <c r="A23" s="221" t="s">
        <v>59</v>
      </c>
      <c r="B23" s="222"/>
      <c r="C23" s="18"/>
      <c r="D23" s="18"/>
      <c r="E23" s="18"/>
      <c r="F23" s="18"/>
      <c r="G23" s="223"/>
      <c r="H23" s="224"/>
      <c r="I23" s="225">
        <f>+Ark2!C18</f>
        <v>27.027428120000003</v>
      </c>
      <c r="J23" s="226">
        <f t="shared" si="0"/>
        <v>0</v>
      </c>
      <c r="K23" s="39">
        <f t="shared" si="1"/>
        <v>0</v>
      </c>
    </row>
    <row r="24" spans="1:11" ht="15.75" customHeight="1" thickBot="1">
      <c r="A24" s="41"/>
      <c r="B24" s="203" t="s">
        <v>10</v>
      </c>
      <c r="C24" s="203"/>
      <c r="D24" s="203"/>
      <c r="E24" s="265" t="s">
        <v>41</v>
      </c>
      <c r="F24" s="266"/>
      <c r="G24" s="267"/>
      <c r="H24" s="204"/>
      <c r="I24" s="96">
        <f>+Ark2!C17</f>
        <v>21999.0694</v>
      </c>
      <c r="J24" s="53">
        <f>+H24*I24</f>
        <v>0</v>
      </c>
      <c r="K24" s="42">
        <f t="shared" si="1"/>
        <v>0</v>
      </c>
    </row>
    <row r="25" spans="1:14" s="43" customFormat="1" ht="12" customHeight="1" thickBot="1">
      <c r="A25" s="11"/>
      <c r="B25" s="14"/>
      <c r="C25" s="14"/>
      <c r="D25" s="14"/>
      <c r="E25" s="14"/>
      <c r="F25" s="14"/>
      <c r="G25" s="14"/>
      <c r="H25" s="11"/>
      <c r="I25" s="12"/>
      <c r="J25" s="92"/>
      <c r="K25" s="15"/>
      <c r="N25" s="93"/>
    </row>
    <row r="26" spans="1:11" ht="15.75" thickBot="1">
      <c r="A26" s="166" t="s">
        <v>75</v>
      </c>
      <c r="B26" s="103"/>
      <c r="C26" s="167"/>
      <c r="D26" s="168"/>
      <c r="E26" s="168"/>
      <c r="F26" s="168"/>
      <c r="G26" s="168"/>
      <c r="H26" s="169"/>
      <c r="I26" s="170" t="s">
        <v>14</v>
      </c>
      <c r="J26" s="199" t="s">
        <v>0</v>
      </c>
      <c r="K26" s="35" t="s">
        <v>1</v>
      </c>
    </row>
    <row r="27" spans="1:16" s="128" customFormat="1" ht="13.5" thickTop="1">
      <c r="A27" s="171" t="s">
        <v>28</v>
      </c>
      <c r="B27" s="229" t="s">
        <v>88</v>
      </c>
      <c r="C27" s="136"/>
      <c r="D27" s="136"/>
      <c r="E27" s="136"/>
      <c r="F27" s="136"/>
      <c r="G27" s="136"/>
      <c r="H27" s="160" t="s">
        <v>40</v>
      </c>
      <c r="I27" s="137"/>
      <c r="J27" s="138"/>
      <c r="K27" s="139"/>
      <c r="N27" s="129"/>
      <c r="P27" s="245"/>
    </row>
    <row r="28" spans="1:14" s="128" customFormat="1" ht="12.75">
      <c r="A28" s="114"/>
      <c r="B28" s="13" t="s">
        <v>89</v>
      </c>
      <c r="C28" s="140"/>
      <c r="D28" s="140"/>
      <c r="E28" s="140"/>
      <c r="F28" s="140"/>
      <c r="G28" s="140"/>
      <c r="H28" s="132"/>
      <c r="I28" s="141">
        <f>+Ark2!C11</f>
        <v>19480.604507</v>
      </c>
      <c r="J28" s="142">
        <f>+H28*I28/100</f>
        <v>0</v>
      </c>
      <c r="K28" s="135">
        <f>+J28/12</f>
        <v>0</v>
      </c>
      <c r="N28" s="129"/>
    </row>
    <row r="29" spans="1:14" s="128" customFormat="1" ht="12.75">
      <c r="A29" s="114"/>
      <c r="B29" s="229" t="s">
        <v>101</v>
      </c>
      <c r="C29" s="136"/>
      <c r="D29" s="136"/>
      <c r="E29" s="136"/>
      <c r="F29" s="136"/>
      <c r="G29" s="136"/>
      <c r="H29" s="160" t="s">
        <v>40</v>
      </c>
      <c r="I29" s="137"/>
      <c r="J29" s="138"/>
      <c r="K29" s="139"/>
      <c r="N29" s="129"/>
    </row>
    <row r="30" spans="1:14" s="128" customFormat="1" ht="12.75">
      <c r="A30" s="114"/>
      <c r="B30" s="13" t="s">
        <v>102</v>
      </c>
      <c r="C30" s="140"/>
      <c r="D30" s="140"/>
      <c r="E30" s="140"/>
      <c r="F30" s="140"/>
      <c r="G30" s="140"/>
      <c r="H30" s="132"/>
      <c r="I30" s="141">
        <f>+Ark2!C4</f>
        <v>16065.034706</v>
      </c>
      <c r="J30" s="142">
        <f>+H30*I30/100</f>
        <v>0</v>
      </c>
      <c r="K30" s="135">
        <f>+J30/12</f>
        <v>0</v>
      </c>
      <c r="N30" s="129"/>
    </row>
    <row r="31" spans="1:14" s="128" customFormat="1" ht="12.75">
      <c r="A31" s="162" t="s">
        <v>29</v>
      </c>
      <c r="B31" s="163" t="s">
        <v>90</v>
      </c>
      <c r="C31" s="158"/>
      <c r="D31" s="158"/>
      <c r="E31" s="158"/>
      <c r="F31" s="158"/>
      <c r="G31" s="159"/>
      <c r="H31" s="115" t="str">
        <f>+H27</f>
        <v>Beskæft. grad</v>
      </c>
      <c r="I31" s="125"/>
      <c r="J31" s="126"/>
      <c r="K31" s="127"/>
      <c r="N31" s="129"/>
    </row>
    <row r="32" spans="1:14" s="128" customFormat="1" ht="12.75">
      <c r="A32" s="143"/>
      <c r="B32" s="13" t="s">
        <v>91</v>
      </c>
      <c r="C32" s="140"/>
      <c r="D32" s="140"/>
      <c r="E32" s="140"/>
      <c r="F32" s="140"/>
      <c r="G32" s="140"/>
      <c r="H32" s="132"/>
      <c r="I32" s="133">
        <f>+Ark2!C12</f>
        <v>17544.972102</v>
      </c>
      <c r="J32" s="134">
        <f>+I32*H32/100</f>
        <v>0</v>
      </c>
      <c r="K32" s="135">
        <f>+J32/12</f>
        <v>0</v>
      </c>
      <c r="N32" s="129"/>
    </row>
    <row r="33" spans="1:14" s="128" customFormat="1" ht="12.75">
      <c r="A33" s="143"/>
      <c r="B33" s="163" t="s">
        <v>103</v>
      </c>
      <c r="C33" s="158"/>
      <c r="D33" s="158"/>
      <c r="E33" s="158"/>
      <c r="F33" s="158"/>
      <c r="G33" s="159"/>
      <c r="H33" s="115" t="str">
        <f>+H29</f>
        <v>Beskæft. grad</v>
      </c>
      <c r="I33" s="125"/>
      <c r="J33" s="126"/>
      <c r="K33" s="127"/>
      <c r="N33" s="129"/>
    </row>
    <row r="34" spans="1:14" s="128" customFormat="1" ht="12.75">
      <c r="A34" s="143"/>
      <c r="B34" s="13" t="s">
        <v>104</v>
      </c>
      <c r="C34" s="140"/>
      <c r="D34" s="140"/>
      <c r="E34" s="140"/>
      <c r="F34" s="140"/>
      <c r="G34" s="140"/>
      <c r="H34" s="132"/>
      <c r="I34" s="133">
        <f>+Ark2!C5</f>
        <v>14129.402301</v>
      </c>
      <c r="J34" s="134">
        <f>+I34*H34/100</f>
        <v>0</v>
      </c>
      <c r="K34" s="135">
        <f>+J34/12</f>
        <v>0</v>
      </c>
      <c r="N34" s="129"/>
    </row>
    <row r="35" spans="1:14" s="128" customFormat="1" ht="12.75">
      <c r="A35" s="162" t="s">
        <v>30</v>
      </c>
      <c r="B35" s="256" t="s">
        <v>96</v>
      </c>
      <c r="C35" s="257"/>
      <c r="D35" s="257"/>
      <c r="E35" s="257"/>
      <c r="F35" s="257"/>
      <c r="G35" s="258"/>
      <c r="H35" s="21" t="str">
        <f>+H27</f>
        <v>Beskæft. grad</v>
      </c>
      <c r="I35" s="144"/>
      <c r="J35" s="145"/>
      <c r="K35" s="146"/>
      <c r="N35" s="129"/>
    </row>
    <row r="36" spans="1:14" s="128" customFormat="1" ht="12.75">
      <c r="A36" s="147"/>
      <c r="B36" s="18" t="s">
        <v>92</v>
      </c>
      <c r="C36" s="131"/>
      <c r="D36" s="131"/>
      <c r="E36" s="131"/>
      <c r="F36" s="131"/>
      <c r="G36" s="148"/>
      <c r="H36" s="149"/>
      <c r="I36" s="133">
        <f>+Ark2!C13</f>
        <v>17844.50170200003</v>
      </c>
      <c r="J36" s="134">
        <f>+H36*I36/100</f>
        <v>0</v>
      </c>
      <c r="K36" s="135">
        <f>+J36/12</f>
        <v>0</v>
      </c>
      <c r="N36" s="129"/>
    </row>
    <row r="37" spans="1:14" s="128" customFormat="1" ht="12.75">
      <c r="A37" s="162" t="s">
        <v>31</v>
      </c>
      <c r="B37" s="256" t="s">
        <v>97</v>
      </c>
      <c r="C37" s="257"/>
      <c r="D37" s="257"/>
      <c r="E37" s="257"/>
      <c r="F37" s="257"/>
      <c r="G37" s="258"/>
      <c r="H37" s="160" t="str">
        <f>+H27</f>
        <v>Beskæft. grad</v>
      </c>
      <c r="I37" s="125"/>
      <c r="J37" s="126"/>
      <c r="K37" s="127"/>
      <c r="N37" s="129"/>
    </row>
    <row r="38" spans="1:14" s="128" customFormat="1" ht="12.75">
      <c r="A38" s="130"/>
      <c r="B38" s="18" t="s">
        <v>93</v>
      </c>
      <c r="C38" s="131"/>
      <c r="D38" s="131"/>
      <c r="E38" s="131"/>
      <c r="F38" s="131"/>
      <c r="G38" s="131"/>
      <c r="H38" s="132"/>
      <c r="I38" s="133">
        <f>+Ark2!C14</f>
        <v>14707.209401000015</v>
      </c>
      <c r="J38" s="134">
        <f>+I38*H38/100</f>
        <v>0</v>
      </c>
      <c r="K38" s="135">
        <f>+J38/12</f>
        <v>0</v>
      </c>
      <c r="N38" s="129"/>
    </row>
    <row r="39" spans="1:14" s="128" customFormat="1" ht="12.75">
      <c r="A39" s="116" t="s">
        <v>47</v>
      </c>
      <c r="B39" s="157" t="s">
        <v>98</v>
      </c>
      <c r="C39" s="123"/>
      <c r="D39" s="123"/>
      <c r="E39" s="123"/>
      <c r="F39" s="123"/>
      <c r="G39" s="124"/>
      <c r="H39" s="160" t="str">
        <f>+H31</f>
        <v>Beskæft. grad</v>
      </c>
      <c r="I39" s="125"/>
      <c r="J39" s="126"/>
      <c r="K39" s="127"/>
      <c r="N39" s="129"/>
    </row>
    <row r="40" spans="1:14" s="128" customFormat="1" ht="12.75">
      <c r="A40" s="130"/>
      <c r="B40" s="18" t="s">
        <v>94</v>
      </c>
      <c r="C40" s="131"/>
      <c r="D40" s="131"/>
      <c r="E40" s="131"/>
      <c r="F40" s="131"/>
      <c r="G40" s="131"/>
      <c r="H40" s="132"/>
      <c r="I40" s="133">
        <f>+Ark2!C15</f>
        <v>22288.581222</v>
      </c>
      <c r="J40" s="134">
        <f>+I40*H40/100</f>
        <v>0</v>
      </c>
      <c r="K40" s="135">
        <f>+J40/12</f>
        <v>0</v>
      </c>
      <c r="N40" s="129"/>
    </row>
    <row r="41" spans="1:14" s="128" customFormat="1" ht="12.75">
      <c r="A41" s="116" t="s">
        <v>49</v>
      </c>
      <c r="B41" s="157" t="s">
        <v>99</v>
      </c>
      <c r="C41" s="123"/>
      <c r="D41" s="123"/>
      <c r="E41" s="123"/>
      <c r="F41" s="123"/>
      <c r="G41" s="124"/>
      <c r="H41" s="160" t="str">
        <f>+H35</f>
        <v>Beskæft. grad</v>
      </c>
      <c r="I41" s="125"/>
      <c r="J41" s="126"/>
      <c r="K41" s="127"/>
      <c r="N41" s="129"/>
    </row>
    <row r="42" spans="1:14" s="128" customFormat="1" ht="13.5" thickBot="1">
      <c r="A42" s="210"/>
      <c r="B42" s="95" t="s">
        <v>95</v>
      </c>
      <c r="C42" s="211"/>
      <c r="D42" s="211"/>
      <c r="E42" s="211"/>
      <c r="F42" s="211"/>
      <c r="G42" s="211"/>
      <c r="H42" s="212"/>
      <c r="I42" s="207">
        <f>+Ark2!C16</f>
        <v>12707.000000000015</v>
      </c>
      <c r="J42" s="208">
        <f>+I42*H42/100</f>
        <v>0</v>
      </c>
      <c r="K42" s="209">
        <f>+J42/12</f>
        <v>0</v>
      </c>
      <c r="N42" s="129"/>
    </row>
    <row r="43" spans="1:14" s="128" customFormat="1" ht="12.75">
      <c r="A43" s="238" t="s">
        <v>56</v>
      </c>
      <c r="B43" s="239" t="s">
        <v>61</v>
      </c>
      <c r="C43" s="239"/>
      <c r="D43" s="239"/>
      <c r="E43" s="239"/>
      <c r="F43" s="239"/>
      <c r="G43" s="240"/>
      <c r="H43" s="241" t="s">
        <v>41</v>
      </c>
      <c r="I43" s="242"/>
      <c r="J43" s="243"/>
      <c r="K43" s="244"/>
      <c r="N43" s="129"/>
    </row>
    <row r="44" spans="1:14" s="128" customFormat="1" ht="12.75">
      <c r="A44" s="179"/>
      <c r="B44" s="18" t="s">
        <v>60</v>
      </c>
      <c r="C44" s="18"/>
      <c r="D44" s="18"/>
      <c r="E44" s="18"/>
      <c r="F44" s="18"/>
      <c r="G44" s="18"/>
      <c r="H44" s="161"/>
      <c r="I44" s="180">
        <f>+Ark2!C22</f>
        <v>15999.3232</v>
      </c>
      <c r="J44" s="181">
        <f>+I44*H44</f>
        <v>0</v>
      </c>
      <c r="K44" s="36">
        <f>+J44/12</f>
        <v>0</v>
      </c>
      <c r="N44" s="129"/>
    </row>
    <row r="45" spans="1:14" s="128" customFormat="1" ht="12.75">
      <c r="A45" s="162" t="s">
        <v>63</v>
      </c>
      <c r="B45" s="163" t="s">
        <v>53</v>
      </c>
      <c r="C45" s="163"/>
      <c r="D45" s="163"/>
      <c r="E45" s="163"/>
      <c r="F45" s="163"/>
      <c r="G45" s="164"/>
      <c r="H45" s="182" t="s">
        <v>41</v>
      </c>
      <c r="I45" s="183"/>
      <c r="J45" s="140"/>
      <c r="K45" s="38"/>
      <c r="N45" s="129"/>
    </row>
    <row r="46" spans="1:14" s="128" customFormat="1" ht="12.75">
      <c r="A46" s="179"/>
      <c r="B46" s="18" t="s">
        <v>76</v>
      </c>
      <c r="C46" s="18"/>
      <c r="D46" s="18"/>
      <c r="E46" s="18"/>
      <c r="F46" s="18"/>
      <c r="G46" s="18"/>
      <c r="H46" s="161"/>
      <c r="I46" s="180">
        <f>+Ark2!C23</f>
        <v>12856.599</v>
      </c>
      <c r="J46" s="181">
        <f>+I46*H46</f>
        <v>0</v>
      </c>
      <c r="K46" s="39">
        <f aca="true" t="shared" si="2" ref="K46:K54">+J46/12</f>
        <v>0</v>
      </c>
      <c r="N46" s="129"/>
    </row>
    <row r="47" spans="1:14" s="128" customFormat="1" ht="12.75">
      <c r="A47" s="162" t="s">
        <v>64</v>
      </c>
      <c r="B47" s="163" t="s">
        <v>69</v>
      </c>
      <c r="C47" s="163"/>
      <c r="D47" s="163"/>
      <c r="E47" s="163"/>
      <c r="F47" s="163"/>
      <c r="G47" s="164"/>
      <c r="H47" s="182" t="s">
        <v>41</v>
      </c>
      <c r="I47" s="183"/>
      <c r="J47" s="184"/>
      <c r="K47" s="38">
        <f t="shared" si="2"/>
        <v>0</v>
      </c>
      <c r="N47" s="129"/>
    </row>
    <row r="48" spans="1:14" s="128" customFormat="1" ht="12.75">
      <c r="A48" s="179"/>
      <c r="B48" s="18" t="s">
        <v>77</v>
      </c>
      <c r="C48" s="18"/>
      <c r="D48" s="18"/>
      <c r="E48" s="18"/>
      <c r="F48" s="18"/>
      <c r="G48" s="18"/>
      <c r="H48" s="161"/>
      <c r="I48" s="180">
        <f>+Ark2!C24</f>
        <v>7142.555</v>
      </c>
      <c r="J48" s="165">
        <f>+I48*H48</f>
        <v>0</v>
      </c>
      <c r="K48" s="39">
        <f t="shared" si="2"/>
        <v>0</v>
      </c>
      <c r="N48" s="129"/>
    </row>
    <row r="49" spans="1:14" s="14" customFormat="1" ht="14.25" customHeight="1">
      <c r="A49" s="213" t="s">
        <v>65</v>
      </c>
      <c r="B49" s="191" t="s">
        <v>55</v>
      </c>
      <c r="C49" s="155"/>
      <c r="D49" s="155"/>
      <c r="E49" s="155"/>
      <c r="F49" s="155"/>
      <c r="G49" s="156"/>
      <c r="H49" s="152" t="s">
        <v>50</v>
      </c>
      <c r="I49" s="200"/>
      <c r="J49" s="153"/>
      <c r="K49" s="201">
        <f t="shared" si="2"/>
        <v>0</v>
      </c>
      <c r="N49" s="150"/>
    </row>
    <row r="50" spans="1:14" s="14" customFormat="1" ht="14.25" customHeight="1">
      <c r="A50" s="230"/>
      <c r="B50" s="231" t="s">
        <v>78</v>
      </c>
      <c r="C50" s="231"/>
      <c r="D50" s="231"/>
      <c r="E50" s="232"/>
      <c r="F50" s="233"/>
      <c r="G50" s="232"/>
      <c r="H50" s="234"/>
      <c r="I50" s="235">
        <f>+H50*Ark2!C2</f>
        <v>0</v>
      </c>
      <c r="J50" s="236">
        <f>+I50</f>
        <v>0</v>
      </c>
      <c r="K50" s="237">
        <f t="shared" si="2"/>
        <v>0</v>
      </c>
      <c r="N50" s="150"/>
    </row>
    <row r="51" spans="1:14" s="14" customFormat="1" ht="14.25" customHeight="1">
      <c r="A51" s="213" t="s">
        <v>65</v>
      </c>
      <c r="B51" s="191" t="s">
        <v>55</v>
      </c>
      <c r="C51" s="155"/>
      <c r="D51" s="155"/>
      <c r="E51" s="155"/>
      <c r="F51" s="155"/>
      <c r="G51" s="156"/>
      <c r="H51" s="152" t="s">
        <v>50</v>
      </c>
      <c r="I51" s="200"/>
      <c r="J51" s="153"/>
      <c r="K51" s="201">
        <f t="shared" si="2"/>
        <v>0</v>
      </c>
      <c r="N51" s="150"/>
    </row>
    <row r="52" spans="1:14" s="14" customFormat="1" ht="14.25" customHeight="1">
      <c r="A52" s="230"/>
      <c r="B52" s="231" t="s">
        <v>79</v>
      </c>
      <c r="C52" s="231"/>
      <c r="D52" s="231"/>
      <c r="E52" s="232"/>
      <c r="F52" s="233"/>
      <c r="G52" s="232"/>
      <c r="H52" s="234"/>
      <c r="I52" s="235">
        <f>+H52*Ark2!C2</f>
        <v>0</v>
      </c>
      <c r="J52" s="236">
        <f>+I52</f>
        <v>0</v>
      </c>
      <c r="K52" s="237">
        <f t="shared" si="2"/>
        <v>0</v>
      </c>
      <c r="N52" s="150"/>
    </row>
    <row r="53" spans="1:14" s="14" customFormat="1" ht="14.25" customHeight="1">
      <c r="A53" s="213" t="s">
        <v>65</v>
      </c>
      <c r="B53" s="191" t="s">
        <v>55</v>
      </c>
      <c r="C53" s="155"/>
      <c r="D53" s="155"/>
      <c r="E53" s="155"/>
      <c r="F53" s="155"/>
      <c r="G53" s="156"/>
      <c r="H53" s="152" t="s">
        <v>50</v>
      </c>
      <c r="I53" s="200"/>
      <c r="J53" s="153"/>
      <c r="K53" s="201">
        <f t="shared" si="2"/>
        <v>0</v>
      </c>
      <c r="N53" s="150"/>
    </row>
    <row r="54" spans="1:14" s="14" customFormat="1" ht="14.25" customHeight="1" thickBot="1">
      <c r="A54" s="202"/>
      <c r="B54" s="111" t="s">
        <v>78</v>
      </c>
      <c r="C54" s="111"/>
      <c r="D54" s="111"/>
      <c r="E54" s="154"/>
      <c r="F54" s="151"/>
      <c r="G54" s="154"/>
      <c r="H54" s="234"/>
      <c r="I54" s="235">
        <f>+H54*Ark2!C2</f>
        <v>0</v>
      </c>
      <c r="J54" s="236">
        <f>+I54</f>
        <v>0</v>
      </c>
      <c r="K54" s="237">
        <f t="shared" si="2"/>
        <v>0</v>
      </c>
      <c r="N54" s="150"/>
    </row>
    <row r="55" spans="1:14" s="43" customFormat="1" ht="7.5" customHeight="1" thickBot="1">
      <c r="A55" s="122"/>
      <c r="B55" s="14"/>
      <c r="C55" s="14"/>
      <c r="D55" s="14"/>
      <c r="E55" s="14"/>
      <c r="F55" s="14"/>
      <c r="G55" s="14"/>
      <c r="H55" s="11"/>
      <c r="I55" s="12"/>
      <c r="J55" s="92"/>
      <c r="K55" s="15"/>
      <c r="N55" s="93"/>
    </row>
    <row r="56" spans="1:11" ht="15.75" thickBot="1">
      <c r="A56" s="104" t="s">
        <v>46</v>
      </c>
      <c r="B56" s="103"/>
      <c r="C56" s="105"/>
      <c r="D56" s="106"/>
      <c r="E56" s="106"/>
      <c r="F56" s="106"/>
      <c r="G56" s="106"/>
      <c r="H56" s="107" t="str">
        <f>+H27</f>
        <v>Beskæft. grad</v>
      </c>
      <c r="I56" s="108"/>
      <c r="J56" s="109"/>
      <c r="K56" s="110"/>
    </row>
    <row r="57" spans="1:11" ht="16.5" thickBot="1" thickTop="1">
      <c r="A57" s="41"/>
      <c r="B57" s="111" t="s">
        <v>68</v>
      </c>
      <c r="C57" s="95"/>
      <c r="D57" s="95"/>
      <c r="E57" s="95"/>
      <c r="F57" s="95"/>
      <c r="G57" s="95"/>
      <c r="H57" s="112"/>
      <c r="I57" s="113">
        <f>+Ark2!C20</f>
        <v>8571.066</v>
      </c>
      <c r="J57" s="53">
        <f>+I57*H57/100</f>
        <v>0</v>
      </c>
      <c r="K57" s="42">
        <f>+J57/12</f>
        <v>0</v>
      </c>
    </row>
    <row r="58" spans="1:11" ht="15.75" thickBot="1">
      <c r="A58" s="192"/>
      <c r="B58" s="194" t="s">
        <v>57</v>
      </c>
      <c r="C58" s="193"/>
      <c r="D58" s="193"/>
      <c r="E58" s="193"/>
      <c r="F58" s="193"/>
      <c r="G58" s="193"/>
      <c r="H58" s="198" t="s">
        <v>58</v>
      </c>
      <c r="I58" s="195"/>
      <c r="J58" s="197"/>
      <c r="K58" s="196">
        <v>0</v>
      </c>
    </row>
    <row r="59" spans="1:14" s="43" customFormat="1" ht="4.5" customHeight="1" thickBot="1">
      <c r="A59" s="11"/>
      <c r="B59" s="14"/>
      <c r="C59" s="14"/>
      <c r="D59" s="14"/>
      <c r="E59" s="14"/>
      <c r="F59" s="14"/>
      <c r="G59" s="14"/>
      <c r="H59" s="11"/>
      <c r="I59" s="12"/>
      <c r="J59" s="92"/>
      <c r="K59" s="15"/>
      <c r="N59" s="93"/>
    </row>
    <row r="60" spans="1:11" ht="15.75" thickBot="1">
      <c r="A60" s="260" t="s">
        <v>8</v>
      </c>
      <c r="B60" s="261"/>
      <c r="C60" s="261"/>
      <c r="D60" s="261"/>
      <c r="E60" s="261"/>
      <c r="F60" s="261"/>
      <c r="G60" s="261"/>
      <c r="H60" s="261"/>
      <c r="I60" s="261"/>
      <c r="J60" s="54">
        <f>SUM(J13:J59)</f>
        <v>0</v>
      </c>
      <c r="K60" s="25">
        <f>SUM(K13:K59)</f>
        <v>0</v>
      </c>
    </row>
    <row r="61" spans="1:11" ht="5.25" customHeight="1">
      <c r="A61" s="14"/>
      <c r="B61" s="14"/>
      <c r="C61" s="14"/>
      <c r="D61" s="14"/>
      <c r="E61" s="14"/>
      <c r="F61" s="14"/>
      <c r="G61" s="14"/>
      <c r="H61" s="14"/>
      <c r="I61" s="14"/>
      <c r="J61" s="15"/>
      <c r="K61" s="15"/>
    </row>
    <row r="62" spans="1:14" s="119" customFormat="1" ht="11.25">
      <c r="A62" s="118" t="s">
        <v>100</v>
      </c>
      <c r="J62" s="120"/>
      <c r="K62" s="120"/>
      <c r="N62" s="121"/>
    </row>
    <row r="63" spans="1:14" s="119" customFormat="1" ht="11.25">
      <c r="A63" s="118" t="s">
        <v>48</v>
      </c>
      <c r="J63" s="120"/>
      <c r="K63" s="120"/>
      <c r="N63" s="121"/>
    </row>
    <row r="64" ht="7.5" customHeight="1" thickBot="1"/>
    <row r="65" spans="1:11" ht="12" customHeight="1" thickBot="1">
      <c r="A65" s="262" t="s">
        <v>52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4"/>
    </row>
  </sheetData>
  <sheetProtection/>
  <mergeCells count="13">
    <mergeCell ref="B13:E13"/>
    <mergeCell ref="A1:K1"/>
    <mergeCell ref="A3:K3"/>
    <mergeCell ref="A2:B2"/>
    <mergeCell ref="C2:G2"/>
    <mergeCell ref="J2:K2"/>
    <mergeCell ref="B15:E15"/>
    <mergeCell ref="B35:G35"/>
    <mergeCell ref="B16:E16"/>
    <mergeCell ref="B37:G37"/>
    <mergeCell ref="A60:I60"/>
    <mergeCell ref="A65:K65"/>
    <mergeCell ref="E24:G24"/>
  </mergeCells>
  <printOptions/>
  <pageMargins left="0.51" right="0.15625" top="0.24" bottom="0.35433070866141736" header="0" footer="0"/>
  <pageSetup fitToHeight="0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E63"/>
  <sheetViews>
    <sheetView showZeros="0" showOutlineSymbols="0" workbookViewId="0" topLeftCell="A1">
      <selection activeCell="D2" sqref="D2"/>
    </sheetView>
  </sheetViews>
  <sheetFormatPr defaultColWidth="9.140625" defaultRowHeight="12.75"/>
  <cols>
    <col min="1" max="1" width="60.28125" style="0" customWidth="1"/>
    <col min="2" max="2" width="10.140625" style="0" bestFit="1" customWidth="1"/>
    <col min="3" max="3" width="10.7109375" style="0" customWidth="1"/>
  </cols>
  <sheetData>
    <row r="1" spans="1:3" ht="12.75">
      <c r="A1" s="5" t="s">
        <v>2</v>
      </c>
      <c r="B1" s="6">
        <v>36616</v>
      </c>
      <c r="C1" s="215" t="s">
        <v>108</v>
      </c>
    </row>
    <row r="2" spans="1:3" ht="12.75">
      <c r="A2" s="5" t="s">
        <v>3</v>
      </c>
      <c r="B2" s="175">
        <v>1</v>
      </c>
      <c r="C2" s="206">
        <v>1.428511</v>
      </c>
    </row>
    <row r="3" spans="1:3" ht="12.75">
      <c r="A3" s="5"/>
      <c r="B3" s="7"/>
      <c r="C3" s="7">
        <f>$B3*C2</f>
        <v>0</v>
      </c>
    </row>
    <row r="4" spans="1:3" ht="12.75">
      <c r="A4" s="5" t="s">
        <v>87</v>
      </c>
      <c r="B4" s="87">
        <v>11246</v>
      </c>
      <c r="C4" s="87">
        <f>$B4*C2</f>
        <v>16065.034706</v>
      </c>
    </row>
    <row r="5" spans="1:3" ht="12.75">
      <c r="A5" s="9" t="s">
        <v>86</v>
      </c>
      <c r="B5" s="172">
        <v>9891</v>
      </c>
      <c r="C5" s="172">
        <f>$B5*C2</f>
        <v>14129.402301</v>
      </c>
    </row>
    <row r="6" spans="1:3" ht="12.75">
      <c r="A6" s="9" t="s">
        <v>4</v>
      </c>
      <c r="B6" s="172">
        <v>90</v>
      </c>
      <c r="C6" s="172">
        <f>$B6*C2</f>
        <v>128.56599</v>
      </c>
    </row>
    <row r="7" spans="1:3" ht="12.75">
      <c r="A7" s="5" t="s">
        <v>5</v>
      </c>
      <c r="B7" s="247"/>
      <c r="C7" s="248">
        <f>$B7*C2</f>
        <v>0</v>
      </c>
    </row>
    <row r="8" spans="1:3" ht="12.75">
      <c r="A8" s="5" t="s">
        <v>20</v>
      </c>
      <c r="B8" s="87">
        <v>25.84</v>
      </c>
      <c r="C8" s="172">
        <f>$B8*C2</f>
        <v>36.91272424</v>
      </c>
    </row>
    <row r="9" spans="1:3" ht="12.75">
      <c r="A9" s="10" t="s">
        <v>15</v>
      </c>
      <c r="B9" s="87">
        <v>32.43</v>
      </c>
      <c r="C9" s="172">
        <f>$B9*C2</f>
        <v>46.32661173</v>
      </c>
    </row>
    <row r="10" spans="1:3" ht="12.75">
      <c r="A10" s="5" t="s">
        <v>19</v>
      </c>
      <c r="B10" s="87">
        <v>15</v>
      </c>
      <c r="C10" s="172">
        <f>+B10*C2</f>
        <v>21.427665</v>
      </c>
    </row>
    <row r="11" spans="1:3" ht="12.75">
      <c r="A11" s="10" t="s">
        <v>85</v>
      </c>
      <c r="B11" s="173">
        <v>13637</v>
      </c>
      <c r="C11" s="174">
        <f>$B11*C2</f>
        <v>19480.604507</v>
      </c>
    </row>
    <row r="12" spans="1:5" ht="12.75">
      <c r="A12" s="10" t="s">
        <v>84</v>
      </c>
      <c r="B12" s="173">
        <v>12282</v>
      </c>
      <c r="C12" s="174">
        <f>$B12*C2</f>
        <v>17544.972102</v>
      </c>
      <c r="E12" s="8"/>
    </row>
    <row r="13" spans="1:5" ht="12.75">
      <c r="A13" s="10" t="s">
        <v>80</v>
      </c>
      <c r="B13" s="173">
        <v>5882</v>
      </c>
      <c r="C13" s="174">
        <f>+B13*C2+(Ark3!B21-Ark3!B20)*12</f>
        <v>17844.50170200003</v>
      </c>
      <c r="E13" s="117"/>
    </row>
    <row r="14" spans="1:5" ht="12.75">
      <c r="A14" s="10" t="s">
        <v>81</v>
      </c>
      <c r="B14" s="173">
        <v>5991</v>
      </c>
      <c r="C14" s="174">
        <f>+B14*C2+(Ark3!B14-Ark3!B13)*12</f>
        <v>14707.209401000015</v>
      </c>
      <c r="E14" s="13"/>
    </row>
    <row r="15" spans="1:4" ht="12.75">
      <c r="A15" s="10" t="s">
        <v>82</v>
      </c>
      <c r="B15" s="173">
        <v>2202</v>
      </c>
      <c r="C15" s="174">
        <f>B15*C2+(Ark3!B22-Ark3!B20)*12</f>
        <v>22288.581222</v>
      </c>
      <c r="D15" s="250"/>
    </row>
    <row r="16" spans="1:3" ht="12.75">
      <c r="A16" s="10" t="s">
        <v>83</v>
      </c>
      <c r="B16" s="173">
        <v>0</v>
      </c>
      <c r="C16" s="174">
        <f>+B16*C2+(Ark3!B15-Ark3!B13)*12</f>
        <v>12707.000000000015</v>
      </c>
    </row>
    <row r="17" spans="1:3" ht="12.75">
      <c r="A17" s="10" t="s">
        <v>13</v>
      </c>
      <c r="B17" s="173">
        <v>15400</v>
      </c>
      <c r="C17" s="174">
        <f>B17*C2</f>
        <v>21999.0694</v>
      </c>
    </row>
    <row r="18" spans="1:3" ht="12.75">
      <c r="A18" s="19" t="s">
        <v>16</v>
      </c>
      <c r="B18" s="87">
        <v>18.92</v>
      </c>
      <c r="C18" s="87">
        <f>+B18*C2</f>
        <v>27.027428120000003</v>
      </c>
    </row>
    <row r="19" spans="1:3" ht="12.75">
      <c r="A19" s="190"/>
      <c r="B19" s="8"/>
      <c r="C19" s="8"/>
    </row>
    <row r="20" spans="1:3" ht="12.75">
      <c r="A20" s="10" t="s">
        <v>67</v>
      </c>
      <c r="B20" s="87">
        <v>6000</v>
      </c>
      <c r="C20" s="87">
        <f>+B20*C2</f>
        <v>8571.066</v>
      </c>
    </row>
    <row r="21" spans="1:3" ht="12.75">
      <c r="A21" s="190"/>
      <c r="B21" s="8"/>
      <c r="C21" s="8"/>
    </row>
    <row r="22" spans="1:3" ht="12.75">
      <c r="A22" s="10" t="s">
        <v>62</v>
      </c>
      <c r="B22" s="87">
        <v>11200</v>
      </c>
      <c r="C22" s="87">
        <f>+B22*C2</f>
        <v>15999.3232</v>
      </c>
    </row>
    <row r="23" spans="1:3" ht="12.75">
      <c r="A23" s="10" t="s">
        <v>66</v>
      </c>
      <c r="B23" s="87">
        <v>9000</v>
      </c>
      <c r="C23" s="87">
        <f>+B23*C2</f>
        <v>12856.599</v>
      </c>
    </row>
    <row r="24" spans="1:3" ht="12.75">
      <c r="A24" s="10" t="s">
        <v>70</v>
      </c>
      <c r="B24" s="87">
        <v>5000</v>
      </c>
      <c r="C24" s="87">
        <f>+B24*C2</f>
        <v>7142.555</v>
      </c>
    </row>
    <row r="25" spans="2:3" ht="12.75">
      <c r="B25" s="17"/>
      <c r="C25" s="8"/>
    </row>
    <row r="26" spans="1:3" ht="12.75">
      <c r="A26" s="227" t="s">
        <v>106</v>
      </c>
      <c r="B26" s="17"/>
      <c r="C26" s="8"/>
    </row>
    <row r="27" spans="1:3" ht="12.75">
      <c r="A27" s="228" t="s">
        <v>73</v>
      </c>
      <c r="B27" s="247"/>
      <c r="C27" s="247">
        <f>+B27*C2</f>
        <v>0</v>
      </c>
    </row>
    <row r="28" spans="1:3" ht="12.75">
      <c r="A28" s="228" t="s">
        <v>74</v>
      </c>
      <c r="B28" s="247"/>
      <c r="C28" s="247">
        <f>+B28*C2</f>
        <v>0</v>
      </c>
    </row>
    <row r="29" spans="1:3" ht="12.75">
      <c r="A29" s="14"/>
      <c r="B29" s="81"/>
      <c r="C29" s="81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</sheetData>
  <sheetProtection/>
  <printOptions headings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22"/>
  <sheetViews>
    <sheetView showZeros="0" showOutlineSymbols="0" view="pageLayout" zoomScale="90" zoomScaleNormal="80" zoomScalePageLayoutView="90" workbookViewId="0" topLeftCell="A1">
      <selection activeCell="F2" sqref="F2"/>
    </sheetView>
  </sheetViews>
  <sheetFormatPr defaultColWidth="9.140625" defaultRowHeight="12.75"/>
  <cols>
    <col min="1" max="1" width="9.140625" style="26" customWidth="1"/>
    <col min="2" max="2" width="14.8515625" style="26" customWidth="1"/>
    <col min="3" max="3" width="10.28125" style="0" customWidth="1"/>
    <col min="4" max="4" width="12.28125" style="8" customWidth="1"/>
    <col min="5" max="5" width="12.8515625" style="0" customWidth="1"/>
    <col min="6" max="6" width="11.7109375" style="0" customWidth="1"/>
    <col min="7" max="7" width="12.00390625" style="0" customWidth="1"/>
    <col min="8" max="8" width="14.140625" style="0" customWidth="1"/>
  </cols>
  <sheetData>
    <row r="1" spans="1:2" ht="44.25" customHeight="1">
      <c r="A1" s="279" t="s">
        <v>107</v>
      </c>
      <c r="B1" s="280"/>
    </row>
    <row r="2" spans="1:8" s="26" customFormat="1" ht="15" customHeight="1">
      <c r="A2" s="79" t="s">
        <v>6</v>
      </c>
      <c r="B2" s="79" t="s">
        <v>22</v>
      </c>
      <c r="C2" s="281" t="s">
        <v>39</v>
      </c>
      <c r="D2" s="282"/>
      <c r="E2" s="80">
        <v>1.428511</v>
      </c>
      <c r="G2" s="79"/>
      <c r="H2" s="79"/>
    </row>
    <row r="3" spans="1:5" ht="15" customHeight="1">
      <c r="A3" s="188">
        <v>26</v>
      </c>
      <c r="B3" s="253">
        <v>26558</v>
      </c>
      <c r="C3" s="283" t="s">
        <v>38</v>
      </c>
      <c r="D3" s="284"/>
      <c r="E3" s="284"/>
    </row>
    <row r="4" spans="1:5" ht="15" customHeight="1">
      <c r="A4" s="188">
        <v>27</v>
      </c>
      <c r="B4" s="253">
        <v>26976</v>
      </c>
      <c r="C4" s="91" t="s">
        <v>42</v>
      </c>
      <c r="D4" s="87" t="s">
        <v>43</v>
      </c>
      <c r="E4" s="88" t="s">
        <v>44</v>
      </c>
    </row>
    <row r="5" spans="1:8" ht="15" customHeight="1">
      <c r="A5" s="188">
        <v>28</v>
      </c>
      <c r="B5" s="253">
        <v>27402.666666666668</v>
      </c>
      <c r="C5" s="185">
        <f>15400+2000</f>
        <v>17400</v>
      </c>
      <c r="D5" s="87">
        <f>+C5*E2/12</f>
        <v>2071.3409500000002</v>
      </c>
      <c r="E5" s="205">
        <f>+B5+D5</f>
        <v>29474.00761666667</v>
      </c>
      <c r="F5" s="86"/>
      <c r="G5" s="81"/>
      <c r="H5" s="84"/>
    </row>
    <row r="6" spans="1:8" ht="15" customHeight="1">
      <c r="A6" s="188">
        <v>29</v>
      </c>
      <c r="B6" s="253">
        <v>27838.333333333332</v>
      </c>
      <c r="C6" s="186"/>
      <c r="D6" s="84"/>
      <c r="E6" s="85"/>
      <c r="F6" s="283" t="s">
        <v>45</v>
      </c>
      <c r="G6" s="284"/>
      <c r="H6" s="284"/>
    </row>
    <row r="7" spans="1:8" ht="15" customHeight="1">
      <c r="A7" s="189">
        <v>30</v>
      </c>
      <c r="B7" s="254">
        <v>28282.583333333332</v>
      </c>
      <c r="C7" s="186"/>
      <c r="D7" s="84"/>
      <c r="E7" s="85"/>
      <c r="F7" s="91" t="s">
        <v>42</v>
      </c>
      <c r="G7" s="87" t="s">
        <v>43</v>
      </c>
      <c r="H7" s="88" t="s">
        <v>44</v>
      </c>
    </row>
    <row r="8" spans="1:8" ht="15" customHeight="1">
      <c r="A8" s="188">
        <v>31</v>
      </c>
      <c r="B8" s="253">
        <v>28736.583333333332</v>
      </c>
      <c r="C8" s="185">
        <f>15400+2000</f>
        <v>17400</v>
      </c>
      <c r="D8" s="87">
        <f>+C8*E2/12</f>
        <v>2071.3409500000002</v>
      </c>
      <c r="E8" s="177">
        <f>+B8+D8</f>
        <v>30807.924283333334</v>
      </c>
      <c r="F8" s="176">
        <f>13000+3000</f>
        <v>16000</v>
      </c>
      <c r="G8" s="87">
        <f>+F8*E2/12</f>
        <v>1904.6813333333337</v>
      </c>
      <c r="H8" s="177">
        <f>+G8+B8</f>
        <v>30641.264666666666</v>
      </c>
    </row>
    <row r="9" spans="1:8" ht="15" customHeight="1">
      <c r="A9" s="188">
        <v>32</v>
      </c>
      <c r="B9" s="253">
        <v>29199.583333333332</v>
      </c>
      <c r="C9" s="187"/>
      <c r="D9" s="81"/>
      <c r="E9" s="82"/>
      <c r="F9" s="86"/>
      <c r="G9" s="81"/>
      <c r="H9" s="89"/>
    </row>
    <row r="10" spans="1:8" ht="15" customHeight="1">
      <c r="A10" s="188">
        <v>33</v>
      </c>
      <c r="B10" s="253">
        <v>29672.083333333332</v>
      </c>
      <c r="C10" s="185">
        <f>15400</f>
        <v>15400</v>
      </c>
      <c r="D10" s="87">
        <f>+C10*E2/12</f>
        <v>1833.2557833333333</v>
      </c>
      <c r="E10" s="177">
        <f>+B10+D10</f>
        <v>31505.339116666666</v>
      </c>
      <c r="F10" s="86"/>
      <c r="G10" s="81">
        <f>+F10*H2/12</f>
        <v>0</v>
      </c>
      <c r="H10" s="85"/>
    </row>
    <row r="11" spans="1:8" ht="15" customHeight="1">
      <c r="A11" s="188">
        <v>34</v>
      </c>
      <c r="B11" s="253">
        <v>30154.833333333332</v>
      </c>
      <c r="C11" s="187"/>
      <c r="D11" s="81"/>
      <c r="E11" s="82"/>
      <c r="F11" s="86"/>
      <c r="G11" s="81"/>
      <c r="H11" s="82"/>
    </row>
    <row r="12" spans="1:8" ht="15" customHeight="1">
      <c r="A12" s="189">
        <v>35</v>
      </c>
      <c r="B12" s="254">
        <v>30646.75</v>
      </c>
      <c r="C12" s="187"/>
      <c r="D12" s="81"/>
      <c r="E12" s="82"/>
      <c r="F12" s="176">
        <f>13000+3000</f>
        <v>16000</v>
      </c>
      <c r="G12" s="87">
        <f>+F12*E2/12</f>
        <v>1904.6813333333337</v>
      </c>
      <c r="H12" s="178">
        <f>+G12+B12</f>
        <v>32551.431333333334</v>
      </c>
    </row>
    <row r="13" spans="1:8" ht="15" customHeight="1">
      <c r="A13" s="188">
        <v>36</v>
      </c>
      <c r="B13" s="253">
        <v>31149.25</v>
      </c>
      <c r="C13" s="88">
        <f>15400+7000</f>
        <v>22400</v>
      </c>
      <c r="D13" s="87">
        <f>C13*E2/12</f>
        <v>2666.5538666666666</v>
      </c>
      <c r="E13" s="214">
        <f>B10+D13</f>
        <v>32338.637199999997</v>
      </c>
      <c r="F13" s="86"/>
      <c r="G13" s="81"/>
      <c r="H13" s="82"/>
    </row>
    <row r="14" spans="1:8" ht="15" customHeight="1">
      <c r="A14" s="188">
        <v>37</v>
      </c>
      <c r="B14" s="253">
        <v>31661.666666666668</v>
      </c>
      <c r="C14" s="251">
        <v>15400</v>
      </c>
      <c r="D14" s="8">
        <f>C14*E2/12</f>
        <v>1833.2557833333333</v>
      </c>
      <c r="E14" s="252">
        <f>B14+D14</f>
        <v>33494.92245</v>
      </c>
      <c r="F14" s="83"/>
      <c r="G14" s="81"/>
      <c r="H14" s="82"/>
    </row>
    <row r="15" spans="1:8" ht="15" customHeight="1">
      <c r="A15" s="188">
        <v>38</v>
      </c>
      <c r="B15" s="253">
        <v>32208.166666666668</v>
      </c>
      <c r="C15" s="88">
        <v>7900</v>
      </c>
      <c r="D15" s="87">
        <f>C15*E2/12</f>
        <v>940.4364083333334</v>
      </c>
      <c r="E15" s="249">
        <f>B13+D15</f>
        <v>32089.686408333335</v>
      </c>
      <c r="F15" s="83"/>
      <c r="G15" s="81"/>
      <c r="H15" s="82"/>
    </row>
    <row r="16" spans="1:8" ht="15" customHeight="1">
      <c r="A16" s="188">
        <v>39</v>
      </c>
      <c r="B16" s="253">
        <v>32752.5</v>
      </c>
      <c r="E16" t="s">
        <v>105</v>
      </c>
      <c r="F16" s="83">
        <v>13000</v>
      </c>
      <c r="G16" s="81">
        <f>F16*E2/12</f>
        <v>1547.5535833333333</v>
      </c>
      <c r="H16" s="246">
        <f>B17+G16</f>
        <v>34855.72025</v>
      </c>
    </row>
    <row r="17" spans="1:8" ht="15" customHeight="1">
      <c r="A17" s="189">
        <v>40</v>
      </c>
      <c r="B17" s="254">
        <v>33308.166666666664</v>
      </c>
      <c r="F17" s="176">
        <f>13000+10000</f>
        <v>23000</v>
      </c>
      <c r="G17" s="87">
        <f>+F17*E2/12</f>
        <v>2737.979416666667</v>
      </c>
      <c r="H17" s="178">
        <f>+G17+B17</f>
        <v>36046.14608333333</v>
      </c>
    </row>
    <row r="18" spans="1:8" ht="15" customHeight="1">
      <c r="A18" s="188">
        <v>41</v>
      </c>
      <c r="B18" s="253">
        <v>33875</v>
      </c>
      <c r="F18" s="83"/>
      <c r="G18" s="81"/>
      <c r="H18" s="82"/>
    </row>
    <row r="19" spans="1:8" ht="15" customHeight="1">
      <c r="A19" s="188">
        <v>42</v>
      </c>
      <c r="B19" s="253">
        <v>34453.083333333336</v>
      </c>
      <c r="F19" s="83"/>
      <c r="G19" s="81"/>
      <c r="H19" s="82"/>
    </row>
    <row r="20" spans="1:8" ht="15" customHeight="1">
      <c r="A20" s="188">
        <v>43</v>
      </c>
      <c r="B20" s="253">
        <v>35218.75</v>
      </c>
      <c r="F20" s="176">
        <f>5500+13000</f>
        <v>18500</v>
      </c>
      <c r="G20" s="87">
        <f>+F20*E2/12</f>
        <v>2202.287791666667</v>
      </c>
      <c r="H20" s="177">
        <f>+G20+B20</f>
        <v>37421.03779166667</v>
      </c>
    </row>
    <row r="21" spans="1:2" ht="15" customHeight="1">
      <c r="A21" s="188">
        <v>44</v>
      </c>
      <c r="B21" s="253">
        <v>36005.583333333336</v>
      </c>
    </row>
    <row r="22" spans="1:2" ht="15" customHeight="1">
      <c r="A22" s="189">
        <v>45</v>
      </c>
      <c r="B22" s="254">
        <v>36814</v>
      </c>
    </row>
    <row r="23" ht="1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24.75" customHeight="1"/>
    <row r="51" ht="24.75" customHeight="1"/>
  </sheetData>
  <sheetProtection/>
  <mergeCells count="4">
    <mergeCell ref="A1:B1"/>
    <mergeCell ref="C2:D2"/>
    <mergeCell ref="C3:E3"/>
    <mergeCell ref="F6:H6"/>
  </mergeCells>
  <printOptions/>
  <pageMargins left="0.4375" right="0.3333333333333333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Susanne Andersen</cp:lastModifiedBy>
  <cp:lastPrinted>2019-09-18T07:37:26Z</cp:lastPrinted>
  <dcterms:created xsi:type="dcterms:W3CDTF">2004-09-06T10:27:11Z</dcterms:created>
  <dcterms:modified xsi:type="dcterms:W3CDTF">2020-10-14T07:03:34Z</dcterms:modified>
  <cp:category/>
  <cp:version/>
  <cp:contentType/>
  <cp:contentStatus/>
</cp:coreProperties>
</file>